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<sst xmlns="http://schemas.openxmlformats.org/spreadsheetml/2006/main" count="4190" uniqueCount="973">
  <si>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</si>
  <si>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</si>
  <si>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</si>
  <si>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</si>
  <si>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</si>
  <si>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</si>
  <si>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</si>
  <si>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</si>
  <si>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</si>
  <si>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</si>
  <si>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</si>
  <si>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</si>
  <si>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</si>
  <si>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</si>
  <si>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</si>
  <si>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</si>
  <si>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</si>
  <si>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</si>
  <si>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</si>
  <si>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</si>
  <si>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</si>
  <si>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</si>
  <si>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</si>
  <si>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</si>
  <si>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</si>
  <si>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</si>
  <si>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</si>
  <si>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</si>
  <si>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</si>
  <si>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</si>
  <si>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</si>
  <si>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</si>
  <si>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</si>
  <si>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</si>
  <si>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</si>
  <si>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</si>
  <si>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</si>
  <si>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</si>
  <si>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</si>
  <si>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</si>
  <si>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</si>
  <si>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</si>
  <si>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</si>
  <si>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</si>
  <si>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</si>
  <si>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</si>
  <si>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</si>
  <si>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</si>
  <si>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</si>
  <si>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</si>
  <si>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</si>
  <si>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</si>
  <si>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</si>
  <si>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</si>
  <si>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</si>
  <si>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</si>
  <si>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</si>
  <si>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</si>
  <si>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</si>
  <si>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</si>
  <si>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</si>
  <si>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</si>
  <si>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</si>
  <si>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</si>
  <si>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</si>
  <si>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</si>
  <si>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</si>
  <si>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</si>
  <si>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</si>
  <si>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</si>
  <si>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</si>
  <si>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</si>
  <si>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</si>
  <si>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</si>
  <si>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</si>
  <si>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</si>
  <si>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</si>
  <si>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</si>
  <si>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</si>
  <si>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</si>
  <si>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</si>
  <si>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</si>
  <si>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</si>
  <si>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</si>
  <si>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</si>
  <si>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</si>
  <si>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</si>
  <si>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</si>
  <si>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</si>
  <si>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</si>
  <si>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</si>
  <si>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</si>
  <si>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</si>
  <si>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</si>
  <si>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</si>
  <si>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</si>
  <si>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</si>
  <si>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</si>
  <si>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</si>
  <si>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</si>
  <si>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</si>
  <si>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</si>
  <si>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</si>
  <si>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</si>
  <si>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</si>
  <si>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</si>
  <si>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</si>
  <si>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</si>
  <si>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</si>
  <si>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</si>
  <si>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</si>
  <si>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</si>
  <si>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</si>
  <si>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</si>
  <si>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</si>
  <si>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</si>
  <si>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</si>
  <si>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</si>
  <si>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</si>
  <si>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</si>
  <si>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</si>
  <si>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</si>
  <si>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</si>
  <si>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</si>
  <si>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</si>
  <si>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</si>
  <si>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</si>
  <si>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</si>
  <si>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</si>
  <si>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</si>
  <si>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</si>
  <si>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</si>
  <si>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</si>
  <si>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</si>
  <si>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</si>
  <si>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</si>
  <si>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</si>
  <si>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</si>
  <si>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</si>
  <si>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</si>
  <si>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</si>
  <si>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</si>
  <si>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</si>
  <si>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</si>
  <si>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</si>
  <si>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</si>
  <si>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</si>
  <si>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</si>
  <si>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</si>
  <si>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</si>
  <si>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</si>
  <si>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</si>
  <si>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</si>
  <si>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</si>
  <si>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</si>
  <si>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</si>
  <si>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</si>
  <si>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</si>
  <si>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</si>
  <si>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</si>
  <si>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</si>
  <si>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</si>
  <si>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</si>
  <si>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</si>
  <si>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</si>
  <si>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</si>
  <si>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</si>
  <si>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</si>
  <si>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</si>
  <si>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</si>
  <si>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</si>
  <si>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</si>
  <si>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</si>
  <si>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</si>
  <si>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</si>
  <si>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</si>
  <si>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</si>
  <si>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</si>
  <si>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</si>
  <si>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</si>
  <si>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</si>
  <si>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</si>
  <si>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</si>
  <si>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</si>
  <si>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</si>
  <si>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</si>
  <si>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</si>
  <si>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</si>
  <si>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</si>
  <si>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</si>
  <si>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</si>
  <si>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</si>
  <si>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</si>
  <si>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</si>
  <si>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</si>
  <si>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</si>
  <si>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</si>
  <si>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</si>
  <si>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</si>
  <si>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</si>
  <si>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</si>
  <si>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</si>
  <si>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</si>
  <si>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</si>
  <si>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</si>
  <si>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</si>
  <si>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</si>
  <si>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</si>
  <si>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</si>
  <si>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</si>
  <si>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</si>
  <si>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</si>
  <si>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</si>
  <si>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</si>
  <si>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</si>
  <si>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</si>
  <si>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</si>
  <si>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</si>
  <si>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</si>
  <si>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</si>
  <si>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</si>
  <si>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</si>
  <si>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</si>
  <si>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</si>
  <si>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</si>
  <si>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</si>
  <si>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</si>
  <si>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</si>
  <si>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</si>
  <si>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</si>
  <si>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</si>
  <si>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</si>
  <si>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</si>
  <si>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</si>
  <si>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</si>
  <si>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</si>
  <si>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</si>
  <si>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</si>
  <si>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</si>
  <si>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</si>
  <si>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</si>
  <si>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</si>
  <si>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</si>
  <si>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</si>
  <si>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</si>
  <si>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</si>
  <si>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</si>
  <si>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</si>
  <si>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</si>
  <si>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</si>
  <si>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</si>
  <si>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</si>
  <si>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</si>
  <si>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</si>
  <si>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</si>
  <si>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</si>
  <si>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</si>
  <si>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</si>
  <si>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</si>
  <si>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</si>
  <si>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</si>
  <si>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</si>
  <si>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</si>
  <si>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</si>
  <si>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</si>
  <si>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</si>
  <si>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</si>
  <si>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</si>
  <si>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</si>
  <si>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</si>
  <si>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</si>
  <si>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</si>
  <si>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</si>
  <si>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</si>
  <si>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</si>
  <si>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</si>
  <si>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</si>
  <si>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</si>
  <si>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</si>
  <si>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</si>
  <si>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</si>
  <si>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</si>
  <si>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</si>
  <si>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</si>
  <si>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</si>
  <si>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</si>
  <si>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</si>
  <si>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</si>
  <si>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</si>
  <si>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</si>
  <si>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</si>
  <si>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</si>
  <si>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</si>
  <si>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</si>
  <si>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</si>
  <si>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</si>
  <si>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</si>
  <si>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</si>
  <si>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</si>
  <si>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</si>
  <si>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</si>
  <si>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</si>
  <si>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</si>
  <si>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</si>
  <si>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</si>
  <si>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</si>
  <si>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</si>
  <si>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</si>
  <si>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</si>
  <si>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</si>
  <si>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</si>
  <si>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</si>
  <si>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</si>
  <si>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</si>
  <si>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</si>
  <si>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</si>
  <si>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</si>
  <si>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</si>
  <si>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</si>
  <si>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</si>
  <si>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</si>
  <si>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</si>
  <si>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</si>
  <si>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</si>
  <si>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</si>
  <si>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</si>
  <si>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</si>
  <si>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</si>
  <si>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</si>
  <si>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</si>
  <si>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</si>
  <si>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</si>
  <si>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</si>
  <si>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</si>
  <si>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</si>
  <si>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</si>
  <si>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</si>
  <si>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</si>
  <si>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</si>
  <si>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</si>
  <si>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</si>
  <si>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</si>
  <si>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</si>
  <si>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</si>
  <si>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</si>
  <si>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</si>
  <si>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</si>
  <si>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</si>
  <si>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</si>
  <si>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</si>
  <si>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</si>
  <si>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</si>
  <si>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</si>
  <si>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</si>
  <si>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</si>
  <si>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</si>
  <si>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</si>
  <si>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</si>
  <si>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</si>
  <si>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</si>
  <si>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</si>
  <si>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</si>
  <si>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</si>
  <si>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</si>
  <si>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</si>
  <si>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</si>
  <si>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</si>
  <si>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</si>
  <si>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</si>
  <si>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</si>
  <si>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</si>
  <si>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</si>
  <si>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</si>
  <si>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</si>
  <si>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</si>
  <si>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</si>
  <si>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</si>
  <si>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</si>
  <si>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</si>
  <si>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</si>
  <si>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</si>
  <si>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</si>
  <si>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</si>
  <si>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</si>
  <si>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</si>
  <si>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</si>
  <si>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</si>
  <si>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</si>
  <si>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</si>
  <si>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</si>
  <si>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</si>
  <si>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</si>
  <si>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</si>
  <si>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</si>
  <si>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</si>
  <si>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</si>
  <si>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</si>
  <si>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</si>
  <si>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</si>
  <si>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</si>
  <si>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</si>
  <si>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</si>
  <si>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</si>
  <si>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</si>
  <si>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</si>
  <si>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</si>
  <si>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</si>
  <si>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</si>
  <si>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</si>
  <si>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</si>
  <si>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</si>
  <si>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</si>
  <si>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</si>
  <si>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</si>
  <si>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</si>
  <si>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</si>
  <si>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</si>
  <si>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</si>
  <si>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</si>
  <si>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</si>
  <si>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</si>
  <si>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</si>
  <si>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</si>
  <si>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</si>
  <si>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</si>
  <si>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</si>
  <si>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</si>
  <si>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</si>
  <si>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</si>
  <si>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</si>
  <si>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</si>
  <si>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</si>
  <si>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</si>
  <si>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</si>
  <si>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</si>
  <si>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</si>
  <si>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</si>
  <si>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</si>
  <si>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</si>
  <si>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</si>
  <si>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</si>
  <si>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</si>
  <si>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</si>
  <si>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</si>
  <si>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</si>
  <si>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</si>
  <si>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</si>
  <si>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</si>
  <si>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</si>
  <si>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</si>
  <si>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</si>
  <si>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</si>
  <si>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</si>
  <si>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</si>
  <si>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</si>
  <si>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</si>
  <si>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</si>
  <si>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</si>
  <si>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</si>
  <si>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</si>
  <si>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</si>
  <si>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</si>
  <si>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</si>
  <si>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</si>
  <si>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</si>
  <si>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</si>
  <si>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</si>
  <si>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</si>
  <si>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</si>
  <si>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</si>
  <si>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</si>
  <si>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</si>
  <si>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</si>
  <si>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</si>
  <si>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</si>
  <si>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</si>
  <si>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</si>
  <si>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</si>
  <si>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</si>
  <si>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</si>
  <si>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</si>
  <si>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</si>
  <si>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</si>
  <si>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</si>
  <si>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</si>
  <si>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</si>
  <si>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</si>
  <si>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</si>
  <si>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</si>
  <si>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</si>
  <si>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</si>
  <si>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</si>
  <si>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</si>
  <si>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</si>
  <si>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</si>
  <si>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</si>
  <si>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</si>
  <si>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</si>
  <si>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</si>
  <si>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</si>
  <si>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</si>
  <si>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</si>
  <si>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</si>
  <si>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</si>
  <si>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</si>
  <si>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</si>
  <si>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</si>
  <si>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</si>
  <si>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</si>
  <si>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</si>
  <si>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</si>
  <si>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</si>
  <si>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</si>
  <si>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</si>
  <si>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</si>
  <si>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</si>
  <si>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</si>
  <si>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</si>
  <si>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</si>
  <si>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</si>
  <si>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</si>
  <si>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</si>
  <si>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</si>
  <si>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</si>
  <si>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</si>
  <si>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</si>
  <si>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</si>
  <si>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</si>
  <si>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</si>
  <si>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</si>
  <si>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</si>
  <si>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</si>
  <si>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</si>
  <si>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</si>
  <si>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</si>
  <si>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</si>
  <si>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</si>
  <si>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</si>
  <si>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</si>
  <si>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</si>
  <si>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</si>
  <si>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</si>
  <si>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</si>
  <si>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</si>
  <si>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</si>
  <si>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</si>
  <si>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</si>
  <si>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</si>
  <si>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</si>
  <si>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</si>
  <si>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</si>
  <si>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</si>
  <si>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</si>
  <si>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</si>
  <si>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</si>
  <si>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</si>
  <si>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</si>
  <si>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</si>
  <si>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</si>
  <si>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</si>
  <si>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</si>
  <si>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</si>
  <si>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</si>
  <si>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</si>
  <si>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</si>
  <si>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</si>
  <si>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</si>
  <si>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</si>
  <si>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</si>
  <si>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</si>
  <si>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</si>
  <si>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</si>
  <si>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</si>
  <si>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</si>
  <si>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</si>
  <si>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</si>
  <si>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</si>
  <si>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</si>
  <si>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</si>
  <si>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</si>
  <si>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</si>
  <si>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</si>
  <si>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</si>
  <si>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</si>
  <si>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</si>
  <si>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</si>
  <si>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</si>
  <si>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</si>
  <si>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</si>
  <si>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</si>
  <si>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</si>
  <si>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</si>
  <si>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</si>
  <si>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</si>
  <si>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</si>
  <si>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</si>
  <si>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</si>
  <si>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</si>
  <si>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</si>
  <si>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</si>
  <si>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</si>
  <si>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</si>
  <si>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</si>
  <si>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</si>
  <si>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</si>
  <si>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</si>
  <si>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</si>
  <si>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</si>
  <si>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</si>
  <si>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</si>
  <si>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</si>
  <si>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</si>
  <si>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</si>
  <si>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</si>
  <si>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</si>
  <si>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</si>
  <si>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</si>
  <si>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</si>
  <si>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</si>
  <si>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</si>
  <si>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</si>
  <si>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</si>
  <si>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</si>
  <si>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</si>
  <si>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</si>
  <si>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</si>
  <si>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</si>
  <si>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</si>
  <si>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</si>
  <si>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</si>
  <si>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</si>
  <si>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</si>
  <si>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</si>
  <si>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</si>
  <si>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</si>
  <si>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</si>
  <si>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</si>
  <si>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</si>
  <si>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</si>
  <si>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</si>
  <si>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</si>
  <si>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</si>
  <si>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</si>
  <si>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</si>
  <si>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</si>
  <si>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</si>
  <si>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</si>
  <si>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</si>
  <si>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</si>
  <si>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</si>
  <si>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</si>
  <si>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</si>
  <si>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</si>
  <si>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</si>
  <si>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</si>
  <si>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</si>
  <si>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</si>
  <si>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</si>
  <si>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</si>
  <si>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</si>
  <si>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</si>
  <si>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</si>
  <si>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</si>
  <si>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</si>
  <si>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</si>
  <si>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</si>
  <si>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</si>
  <si>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</si>
  <si>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</si>
  <si>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</si>
  <si>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</si>
  <si>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</si>
  <si>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</si>
  <si>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</si>
  <si>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</si>
  <si>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</si>
  <si>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</si>
  <si>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</si>
  <si>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</si>
  <si>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</si>
  <si>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</si>
  <si>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</si>
  <si>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</si>
  <si>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</si>
  <si>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</si>
  <si>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</si>
  <si>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</si>
  <si>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</si>
  <si>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</si>
  <si>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</si>
  <si>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</si>
  <si>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</si>
  <si>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</si>
  <si>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</si>
  <si>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</si>
  <si>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</si>
  <si>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</si>
  <si>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</si>
  <si>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</si>
  <si>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</si>
  <si>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</si>
  <si>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</si>
  <si>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</si>
  <si>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</si>
  <si>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</si>
  <si>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</si>
  <si>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</si>
  <si>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</si>
  <si>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</si>
  <si>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</si>
  <si>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</si>
  <si>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</si>
  <si>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</si>
  <si>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</si>
  <si>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</si>
  <si>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</si>
  <si>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</si>
  <si>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</si>
  <si>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</si>
  <si>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</si>
  <si>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</si>
  <si>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</si>
  <si>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</si>
  <si>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</si>
  <si>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</si>
  <si>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</si>
  <si>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</si>
  <si>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</si>
  <si>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</si>
  <si>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</si>
  <si>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</si>
  <si>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</si>
  <si>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</si>
  <si>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</si>
  <si>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</si>
  <si>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</si>
  <si>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</si>
  <si>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</si>
  <si>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</si>
  <si>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</si>
  <si>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</si>
  <si>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</si>
  <si>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</si>
  <si>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</si>
  <si>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</si>
  <si>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</si>
  <si>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</si>
  <si>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</si>
  <si>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</si>
  <si>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</si>
  <si>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</si>
  <si>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</si>
  <si>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</si>
  <si>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</si>
  <si>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</si>
  <si>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</si>
  <si>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</si>
  <si>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</si>
  <si>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</si>
  <si>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</si>
  <si>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</si>
  <si>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</si>
  <si>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</si>
  <si>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</si>
  <si>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</si>
  <si>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</si>
  <si>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</si>
  <si>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</si>
  <si>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</si>
  <si>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</si>
  <si>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</si>
  <si>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</si>
  <si>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</si>
  <si>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</si>
  <si>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</si>
  <si>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</si>
  <si>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</si>
  <si>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</si>
  <si>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</si>
  <si>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</si>
  <si>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</si>
  <si>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</si>
  <si>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</si>
  <si>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</si>
  <si>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</si>
  <si>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</si>
  <si>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</si>
  <si>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</si>
  <si>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</si>
  <si>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</si>
  <si>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</si>
  <si>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</si>
  <si>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</si>
  <si>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</si>
  <si>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</si>
  <si>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</si>
  <si>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</si>
  <si>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</si>
  <si>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</si>
  <si>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</si>
  <si>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</si>
  <si>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</si>
  <si>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</si>
  <si>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</si>
  <si>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</si>
  <si>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</si>
  <si>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</si>
  <si>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</si>
  <si>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</si>
  <si>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</si>
  <si>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</si>
  <si>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</si>
  <si>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</si>
  <si>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</si>
  <si>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</si>
  <si>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</si>
  <si>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</si>
  <si>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</si>
  <si>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</si>
  <si>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</si>
  <si>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</si>
  <si>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</si>
  <si>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</si>
  <si>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</si>
  <si>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</si>
  <si>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</si>
  <si>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</si>
  <si>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</si>
  <si>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</si>
  <si>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</si>
  <si>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</si>
  <si>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</si>
  <si>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</si>
  <si>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</si>
  <si>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</si>
  <si>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</si>
  <si>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</si>
  <si>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</si>
  <si>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</si>
  <si>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</si>
  <si>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</si>
  <si>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</si>
  <si>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</si>
  <si>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</si>
  <si>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</si>
  <si>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</si>
  <si>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</si>
  <si>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</si>
  <si>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</si>
  <si>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</si>
  <si>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</si>
  <si>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</si>
  <si>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</si>
  <si>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</si>
  <si>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</si>
  <si>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</si>
  <si>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</si>
  <si>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</si>
  <si>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</si>
  <si>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</si>
  <si>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</si>
  <si>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</si>
  <si>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</si>
  <si>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</si>
  <si>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</si>
  <si>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</si>
  <si>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</si>
  <si>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</si>
  <si>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</si>
  <si>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</si>
  <si>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</si>
  <si>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</si>
  <si>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</si>
  <si>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</si>
  <si>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</si>
  <si>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</si>
  <si>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</si>
  <si>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</si>
  <si>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</si>
  <si>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</si>
  <si>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</si>
  <si>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</si>
  <si>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</si>
  <si>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</si>
  <si>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</si>
  <si>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</si>
  <si>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</si>
  <si>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</si>
  <si>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</si>
  <si>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</si>
  <si>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</si>
  <si>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</si>
  <si>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</si>
  <si>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</si>
  <si>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</si>
  <si>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</si>
  <si>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</si>
  <si>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</si>
  <si>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</si>
  <si>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</si>
  <si>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</si>
  <si>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</si>
  <si>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</si>
  <si>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</si>
  <si>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</si>
  <si>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</si>
  <si>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</si>
  <si>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</si>
  <si>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</si>
  <si>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</si>
  <si>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</si>
  <si>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</si>
  <si>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</si>
  <si>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</si>
  <si>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</si>
  <si>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</si>
  <si>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</si>
  <si>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</si>
  <si>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</si>
  <si>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</si>
  <si>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</si>
  <si>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</si>
  <si>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</si>
  <si>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</si>
  <si>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</si>
  <si>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</si>
  <si>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</si>
  <si>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</si>
  <si>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</si>
  <si>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</si>
  <si>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</si>
  <si>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</si>
  <si>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</si>
  <si>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</si>
  <si>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</si>
  <si>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</si>
  <si>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</si>
  <si>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</si>
  <si>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</si>
  <si>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</si>
  <si>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</si>
  <si>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</si>
  <si>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</si>
  <si>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</si>
  <si>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</si>
  <si>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</si>
  <si>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</si>
  <si>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</si>
  <si>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</si>
  <si>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</si>
  <si>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</si>
  <si>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</si>
  <si>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</si>
  <si>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</si>
  <si>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</si>
  <si>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</si>
  <si>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</si>
  <si>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</si>
  <si>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</si>
  <si>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</si>
  <si>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</si>
  <si>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</si>
  <si>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</si>
  <si>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</si>
  <si>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</si>
  <si>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</si>
  <si>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ГР. СОФИЯ, УЛ. Три Уши № 8, ЕТ. 6</t>
  </si>
  <si>
    <t>0899114534</t>
  </si>
  <si>
    <t>silvia.yordanova.ms@abv.bg</t>
  </si>
  <si>
    <t>www.capman.bg</t>
  </si>
  <si>
    <t>www.investor.bg</t>
  </si>
  <si>
    <t>ПРАЙМ БИЗНЕС КОНСУЛТИНГ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</si>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</sst>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44926</v>
      </c>
    </row>
    <row r="2" spans="1:27" ht="15">
      <c r="A2" s="654" t="s">
        <v>937</v>
      </c>
      <c r="B2" s="649"/>
      <c r="Z2" s="665">
        <v>2</v>
      </c>
      <c r="AA2" s="666">
        <f>IF(ISBLANK(_pdeReportingDate),"",_pdeReportingDate)</f>
        <v>44978</v>
      </c>
    </row>
    <row r="3" spans="1:27" ht="1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44926</v>
      </c>
    </row>
    <row r="11" spans="1:2" ht="15">
      <c r="A11" s="7" t="s">
        <v>949</v>
      </c>
      <c r="B11" s="547">
        <v>44978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>
        <v>175433155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6" t="s">
        <v>969</v>
      </c>
    </row>
    <row r="25" spans="1:2" ht="15">
      <c r="A25" s="7" t="s">
        <v>895</v>
      </c>
      <c r="B25" s="657" t="s">
        <v>970</v>
      </c>
    </row>
    <row r="26" spans="1:2" ht="15">
      <c r="A26" s="10" t="s">
        <v>942</v>
      </c>
      <c r="B26" s="548" t="s">
        <v>971</v>
      </c>
    </row>
    <row r="27" spans="1:2" ht="15">
      <c r="A27" s="10" t="s">
        <v>943</v>
      </c>
      <c r="B27" s="548" t="s">
        <v>972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0.6764455782312925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0.03089620351490436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0.033025428126621695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0.015737672486275285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1.4023351982486014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3.4060043196544276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3.405572354211663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1.412742980561555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0.07503239740820734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0.11685795200476971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0.02326524556110589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0.32703868269733405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0.9355277211379744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0.4765319748751174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3837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0.07451208855228662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0.7372072853425846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11.33529411764706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821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6228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7327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497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497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497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22246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20435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25550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84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46134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10328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10328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20640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30968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1736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1737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78849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101095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12125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1943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1897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127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1591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3534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51495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1425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6970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17500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24812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213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25025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5984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17152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29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16835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251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23150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23150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101095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102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683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413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179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384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245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1778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2183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325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2512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4290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1475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179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4111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1654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1654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63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1591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5765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1389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59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904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2352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393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393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1760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1260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3020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5765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5765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5765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2227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-1102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-189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-365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-54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-27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490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-24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1831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-45236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15913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-27513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31500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15256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-17019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-2541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351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27547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524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1213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1737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1737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22500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9000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1901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-4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-4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1897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1591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127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3615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3615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18281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-4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-4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18277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1591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31627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51495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51495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1488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1488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63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-126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1425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1425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122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13264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12388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1623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27285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318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318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318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319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25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25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2049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10887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122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13240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318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318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318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1623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27579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1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1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407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179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179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179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587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2049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10887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13241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497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497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497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1623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28166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17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1212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4273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17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5528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4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4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5532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16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387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411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413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23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23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23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19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1228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4660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5916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6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6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5922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1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1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2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2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19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1228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4659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5914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6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6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5920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821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6228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7327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497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497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497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1623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22246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9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9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20435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25550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13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84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84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46134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46143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9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9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9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46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20435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25550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13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84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84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46134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46143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7523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7523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22500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30023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213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371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371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431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431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17123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16835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251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33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20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17939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48175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553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553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5553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29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29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431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431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17123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16835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251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20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17597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23150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6970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6970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17500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24470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213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25025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242925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4601923.579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4844848.579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318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318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14314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15732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30046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179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179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354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893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1247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325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325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497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497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14668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16300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30968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8">
      <selection activeCell="C91" sqref="C9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133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13336</v>
      </c>
    </row>
    <row r="13" spans="1:8" ht="15">
      <c r="A13" s="84" t="s">
        <v>27</v>
      </c>
      <c r="B13" s="86" t="s">
        <v>28</v>
      </c>
      <c r="C13" s="188">
        <v>19</v>
      </c>
      <c r="D13" s="188">
        <v>21</v>
      </c>
      <c r="E13" s="84" t="s">
        <v>821</v>
      </c>
      <c r="F13" s="87" t="s">
        <v>29</v>
      </c>
      <c r="G13" s="188">
        <v>35836</v>
      </c>
      <c r="H13" s="187">
        <v>13336</v>
      </c>
    </row>
    <row r="14" spans="1:8" ht="15">
      <c r="A14" s="84" t="s">
        <v>30</v>
      </c>
      <c r="B14" s="86" t="s">
        <v>31</v>
      </c>
      <c r="C14" s="188">
        <v>821</v>
      </c>
      <c r="D14" s="188">
        <v>837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6228</v>
      </c>
      <c r="D15" s="188">
        <v>6613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>
        <v>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122</v>
      </c>
      <c r="E18" s="468" t="s">
        <v>47</v>
      </c>
      <c r="F18" s="467" t="s">
        <v>48</v>
      </c>
      <c r="G18" s="578">
        <f>G12+G15+G16+G17</f>
        <v>35836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3</v>
      </c>
      <c r="D19" s="188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7327</v>
      </c>
      <c r="D20" s="567">
        <f>SUM(D12:D19)</f>
        <v>7736</v>
      </c>
      <c r="E20" s="84" t="s">
        <v>54</v>
      </c>
      <c r="F20" s="87" t="s">
        <v>55</v>
      </c>
      <c r="G20" s="188">
        <v>9000</v>
      </c>
      <c r="H20" s="187"/>
    </row>
    <row r="21" spans="1:8" ht="15.75">
      <c r="A21" s="94" t="s">
        <v>56</v>
      </c>
      <c r="B21" s="90" t="s">
        <v>57</v>
      </c>
      <c r="C21" s="463">
        <v>12795</v>
      </c>
      <c r="D21" s="464">
        <v>12388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1943</v>
      </c>
      <c r="H28" s="565">
        <f>SUM(H29:H31)</f>
        <v>-85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1897</v>
      </c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>
        <v>127</v>
      </c>
      <c r="H31" s="187">
        <v>-4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1591</v>
      </c>
      <c r="H32" s="187">
        <v>1901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3534</v>
      </c>
      <c r="H34" s="567">
        <f>H28+H32+H33</f>
        <v>1816</v>
      </c>
    </row>
    <row r="35" spans="1:8" ht="15">
      <c r="A35" s="84" t="s">
        <v>106</v>
      </c>
      <c r="B35" s="88" t="s">
        <v>107</v>
      </c>
      <c r="C35" s="564">
        <f>SUM(C36:C39)</f>
        <v>497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51495</v>
      </c>
      <c r="H37" s="569">
        <f>H26+H18+H34</f>
        <v>18277</v>
      </c>
    </row>
    <row r="38" spans="1:13" ht="15">
      <c r="A38" s="84" t="s">
        <v>113</v>
      </c>
      <c r="B38" s="86" t="s">
        <v>114</v>
      </c>
      <c r="C38" s="188">
        <v>497</v>
      </c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1425</v>
      </c>
      <c r="H40" s="552">
        <v>1488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354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6970</v>
      </c>
      <c r="H45" s="187">
        <v>7523</v>
      </c>
    </row>
    <row r="46" spans="1:13" ht="15.75">
      <c r="A46" s="460" t="s">
        <v>137</v>
      </c>
      <c r="B46" s="90" t="s">
        <v>138</v>
      </c>
      <c r="C46" s="566">
        <f>C35+C40+C45</f>
        <v>497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17500</v>
      </c>
      <c r="H48" s="187">
        <v>22500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24812</v>
      </c>
      <c r="H50" s="565">
        <f>SUM(H44:H49)</f>
        <v>30377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>
        <v>204</v>
      </c>
      <c r="E54" s="84" t="s">
        <v>164</v>
      </c>
      <c r="F54" s="89" t="s">
        <v>165</v>
      </c>
      <c r="G54" s="188">
        <v>213</v>
      </c>
      <c r="H54" s="187">
        <v>213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22246</v>
      </c>
      <c r="D56" s="571">
        <f>D20+D21+D22+D28+D33+D46+D52+D54+D55</f>
        <v>21957</v>
      </c>
      <c r="E56" s="94" t="s">
        <v>825</v>
      </c>
      <c r="F56" s="93" t="s">
        <v>172</v>
      </c>
      <c r="G56" s="568">
        <f>G50+G52+G53+G54+G55</f>
        <v>25025</v>
      </c>
      <c r="H56" s="569">
        <f>H50+H52+H53+H54+H55</f>
        <v>30590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5984</v>
      </c>
      <c r="H60" s="187">
        <v>3525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17152</v>
      </c>
      <c r="H61" s="565">
        <f>SUM(H62:H68)</f>
        <v>2447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29</v>
      </c>
      <c r="H62" s="188">
        <v>62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16835</v>
      </c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251</v>
      </c>
      <c r="H64" s="188">
        <v>2297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8">
        <v>31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8">
        <v>3</v>
      </c>
    </row>
    <row r="68" spans="1:8" ht="1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33</v>
      </c>
      <c r="H68" s="188">
        <v>54</v>
      </c>
    </row>
    <row r="69" spans="1:8" ht="15">
      <c r="A69" s="84" t="s">
        <v>210</v>
      </c>
      <c r="B69" s="86" t="s">
        <v>211</v>
      </c>
      <c r="C69" s="188">
        <v>46</v>
      </c>
      <c r="D69" s="187">
        <v>16702</v>
      </c>
      <c r="E69" s="192" t="s">
        <v>79</v>
      </c>
      <c r="F69" s="87" t="s">
        <v>216</v>
      </c>
      <c r="G69" s="188">
        <v>14</v>
      </c>
      <c r="H69" s="188">
        <v>95</v>
      </c>
    </row>
    <row r="70" spans="1:8" ht="15">
      <c r="A70" s="84" t="s">
        <v>214</v>
      </c>
      <c r="B70" s="86" t="s">
        <v>215</v>
      </c>
      <c r="C70" s="188">
        <v>20435</v>
      </c>
      <c r="D70" s="187">
        <f>4123</f>
        <v>4123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25550</v>
      </c>
      <c r="D71" s="187"/>
      <c r="E71" s="461" t="s">
        <v>47</v>
      </c>
      <c r="F71" s="89" t="s">
        <v>223</v>
      </c>
      <c r="G71" s="566">
        <f>G59+G60+G61+G69+G70</f>
        <v>23150</v>
      </c>
      <c r="H71" s="567">
        <f>H59+H60+H61+H69+H70</f>
        <v>6067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7">
        <v>18</v>
      </c>
      <c r="E73" s="460" t="s">
        <v>230</v>
      </c>
      <c r="F73" s="89" t="s">
        <v>231</v>
      </c>
      <c r="G73" s="465"/>
      <c r="H73" s="465">
        <v>15552</v>
      </c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84</v>
      </c>
      <c r="D75" s="187">
        <v>220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46134</v>
      </c>
      <c r="D76" s="567">
        <f>SUM(D68:D75)</f>
        <v>21074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10328</v>
      </c>
      <c r="D79" s="565">
        <f>SUM(D80:D82)</f>
        <v>20156</v>
      </c>
      <c r="E79" s="196" t="s">
        <v>824</v>
      </c>
      <c r="F79" s="93" t="s">
        <v>241</v>
      </c>
      <c r="G79" s="568">
        <f>G71+G73+G75+G77</f>
        <v>23150</v>
      </c>
      <c r="H79" s="569">
        <f>H71+H73+H75+H77</f>
        <v>21619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10328</v>
      </c>
      <c r="D82" s="187">
        <v>20156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20640</v>
      </c>
      <c r="D84" s="187">
        <v>7574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30968</v>
      </c>
      <c r="D85" s="567">
        <f>D84+D83+D79</f>
        <v>27730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>
        <v>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1736</v>
      </c>
      <c r="D89" s="187">
        <v>780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1</v>
      </c>
      <c r="D90" s="187">
        <v>424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1737</v>
      </c>
      <c r="D92" s="567">
        <f>SUM(D88:D91)</f>
        <v>1213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</v>
      </c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78849</v>
      </c>
      <c r="D94" s="571">
        <f>D65+D76+D85+D92+D93</f>
        <v>50017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101095</v>
      </c>
      <c r="D95" s="573">
        <f>D94+D56</f>
        <v>71974</v>
      </c>
      <c r="E95" s="220" t="s">
        <v>915</v>
      </c>
      <c r="F95" s="476" t="s">
        <v>268</v>
      </c>
      <c r="G95" s="572">
        <f>G37+G40+G56+G79</f>
        <v>101095</v>
      </c>
      <c r="H95" s="573">
        <f>H37+H40+H56+H79</f>
        <v>71974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44978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1">
      <selection activeCell="D41" sqref="D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102</v>
      </c>
      <c r="D12" s="307">
        <v>61</v>
      </c>
      <c r="E12" s="185" t="s">
        <v>277</v>
      </c>
      <c r="F12" s="231" t="s">
        <v>278</v>
      </c>
      <c r="G12" s="307">
        <v>1389</v>
      </c>
      <c r="H12" s="307">
        <v>1618</v>
      </c>
    </row>
    <row r="13" spans="1:8" ht="15">
      <c r="A13" s="185" t="s">
        <v>279</v>
      </c>
      <c r="B13" s="181" t="s">
        <v>280</v>
      </c>
      <c r="C13" s="307">
        <v>683</v>
      </c>
      <c r="D13" s="307">
        <v>452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413</v>
      </c>
      <c r="D14" s="307">
        <v>413</v>
      </c>
      <c r="E14" s="236" t="s">
        <v>285</v>
      </c>
      <c r="F14" s="231" t="s">
        <v>286</v>
      </c>
      <c r="G14" s="307">
        <v>59</v>
      </c>
      <c r="H14" s="307">
        <v>49</v>
      </c>
    </row>
    <row r="15" spans="1:8" ht="15">
      <c r="A15" s="185" t="s">
        <v>287</v>
      </c>
      <c r="B15" s="181" t="s">
        <v>288</v>
      </c>
      <c r="C15" s="307">
        <v>179</v>
      </c>
      <c r="D15" s="307">
        <v>260</v>
      </c>
      <c r="E15" s="236" t="s">
        <v>79</v>
      </c>
      <c r="F15" s="231" t="s">
        <v>289</v>
      </c>
      <c r="G15" s="307">
        <f>493+4+407</f>
        <v>904</v>
      </c>
      <c r="H15" s="307">
        <v>166</v>
      </c>
    </row>
    <row r="16" spans="1:8" ht="15.75">
      <c r="A16" s="185" t="s">
        <v>290</v>
      </c>
      <c r="B16" s="181" t="s">
        <v>291</v>
      </c>
      <c r="C16" s="307">
        <v>15</v>
      </c>
      <c r="D16" s="307">
        <v>18</v>
      </c>
      <c r="E16" s="227" t="s">
        <v>52</v>
      </c>
      <c r="F16" s="255" t="s">
        <v>292</v>
      </c>
      <c r="G16" s="597">
        <f>SUM(G12:G15)</f>
        <v>2352</v>
      </c>
      <c r="H16" s="598">
        <f>SUM(H12:H15)</f>
        <v>1833</v>
      </c>
    </row>
    <row r="17" spans="1:8" ht="30.7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393</v>
      </c>
      <c r="H18" s="609"/>
    </row>
    <row r="19" spans="1:8" ht="15">
      <c r="A19" s="185" t="s">
        <v>299</v>
      </c>
      <c r="B19" s="181" t="s">
        <v>300</v>
      </c>
      <c r="C19" s="307">
        <f>245+139</f>
        <v>384</v>
      </c>
      <c r="D19" s="307">
        <v>296</v>
      </c>
      <c r="E19" s="185" t="s">
        <v>301</v>
      </c>
      <c r="F19" s="228" t="s">
        <v>302</v>
      </c>
      <c r="G19" s="307">
        <v>393</v>
      </c>
      <c r="H19" s="308"/>
    </row>
    <row r="20" spans="1:8" ht="15.75">
      <c r="A20" s="226" t="s">
        <v>303</v>
      </c>
      <c r="B20" s="181" t="s">
        <v>304</v>
      </c>
      <c r="C20" s="307">
        <v>245</v>
      </c>
      <c r="D20" s="307">
        <v>170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1778</v>
      </c>
      <c r="D22" s="598">
        <f>SUM(D12:D18)+D19</f>
        <v>1500</v>
      </c>
      <c r="E22" s="185" t="s">
        <v>309</v>
      </c>
      <c r="F22" s="228" t="s">
        <v>310</v>
      </c>
      <c r="G22" s="307">
        <v>1760</v>
      </c>
      <c r="H22" s="307">
        <v>1782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1260</v>
      </c>
      <c r="H24" s="307">
        <v>896</v>
      </c>
    </row>
    <row r="25" spans="1:8" ht="30.75">
      <c r="A25" s="185" t="s">
        <v>316</v>
      </c>
      <c r="B25" s="228" t="s">
        <v>317</v>
      </c>
      <c r="C25" s="307">
        <v>2183</v>
      </c>
      <c r="D25" s="307">
        <v>1819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325</v>
      </c>
      <c r="D26" s="307">
        <v>338</v>
      </c>
      <c r="E26" s="185" t="s">
        <v>322</v>
      </c>
      <c r="F26" s="228" t="s">
        <v>323</v>
      </c>
      <c r="G26" s="307"/>
      <c r="H26" s="307">
        <v>1</v>
      </c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3020</v>
      </c>
      <c r="H27" s="598">
        <f>SUM(H22:H26)</f>
        <v>2679</v>
      </c>
    </row>
    <row r="28" spans="1:8" ht="15">
      <c r="A28" s="185" t="s">
        <v>79</v>
      </c>
      <c r="B28" s="228" t="s">
        <v>327</v>
      </c>
      <c r="C28" s="307">
        <v>4</v>
      </c>
      <c r="D28" s="307">
        <v>21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2512</v>
      </c>
      <c r="D29" s="598">
        <f>SUM(D25:D28)</f>
        <v>2178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4290</v>
      </c>
      <c r="D31" s="604">
        <f>D29+D22</f>
        <v>3678</v>
      </c>
      <c r="E31" s="242" t="s">
        <v>800</v>
      </c>
      <c r="F31" s="257" t="s">
        <v>331</v>
      </c>
      <c r="G31" s="244">
        <f>G16+G18+G27</f>
        <v>5765</v>
      </c>
      <c r="H31" s="245">
        <f>H16+H18+H27</f>
        <v>4512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1475</v>
      </c>
      <c r="D33" s="235">
        <f>IF((H31-D31)&gt;0,H31-D31,0)</f>
        <v>834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>
        <v>179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4111</v>
      </c>
      <c r="D36" s="606">
        <f>D31-D34+D35</f>
        <v>3678</v>
      </c>
      <c r="E36" s="253" t="s">
        <v>346</v>
      </c>
      <c r="F36" s="247" t="s">
        <v>347</v>
      </c>
      <c r="G36" s="258">
        <f>G35-G34+G31</f>
        <v>5765</v>
      </c>
      <c r="H36" s="259">
        <f>H35-H34+H31</f>
        <v>4512</v>
      </c>
    </row>
    <row r="37" spans="1:8" ht="15.75">
      <c r="A37" s="252" t="s">
        <v>348</v>
      </c>
      <c r="B37" s="222" t="s">
        <v>349</v>
      </c>
      <c r="C37" s="603">
        <f>IF((G36-C36)&gt;0,G36-C36,0)</f>
        <v>1654</v>
      </c>
      <c r="D37" s="604">
        <f>IF((H36-D36)&gt;0,H36-D36,0)</f>
        <v>834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18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18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1654</v>
      </c>
      <c r="D42" s="235">
        <f>+IF((H36-D36-D38)&gt;0,H36-D36-D38,0)</f>
        <v>816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63</v>
      </c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1591</v>
      </c>
      <c r="D44" s="259">
        <f>IF(H42=0,IF(D42-D43&gt;0,D42-D43+H43,0),IF(H42-H43&lt;0,H43-H42+D42,0))</f>
        <v>816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5765</v>
      </c>
      <c r="D45" s="600">
        <f>D36+D38+D42</f>
        <v>4512</v>
      </c>
      <c r="E45" s="261" t="s">
        <v>373</v>
      </c>
      <c r="F45" s="263" t="s">
        <v>374</v>
      </c>
      <c r="G45" s="599">
        <f>G42+G36</f>
        <v>5765</v>
      </c>
      <c r="H45" s="600">
        <f>H42+H36</f>
        <v>4512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44978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7" sqref="D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2227</v>
      </c>
      <c r="D11" s="188">
        <v>880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-1102</v>
      </c>
      <c r="D12" s="188">
        <v>-683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-189</v>
      </c>
      <c r="D14" s="188">
        <v>-153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-365</v>
      </c>
      <c r="D15" s="188">
        <v>-75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-54</v>
      </c>
      <c r="D16" s="188">
        <v>-68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-27</v>
      </c>
      <c r="D20" s="188">
        <v>-77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490</v>
      </c>
      <c r="D21" s="628">
        <f>SUM(D11:D20)</f>
        <v>-176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-24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</v>
      </c>
      <c r="D26" s="188">
        <v>57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1831</v>
      </c>
      <c r="D27" s="188">
        <v>253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-45236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15913</v>
      </c>
      <c r="D29" s="188">
        <v>2870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-4637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-27513</v>
      </c>
      <c r="D33" s="628">
        <f>SUM(D23:D32)</f>
        <v>-1457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31500</v>
      </c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15256</v>
      </c>
      <c r="D37" s="188">
        <v>16545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-17019</v>
      </c>
      <c r="D38" s="188">
        <v>-13584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-2541</v>
      </c>
      <c r="D40" s="188">
        <v>-1844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351</v>
      </c>
      <c r="D42" s="188">
        <v>875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27547</v>
      </c>
      <c r="D43" s="630">
        <f>SUM(D35:D42)</f>
        <v>1992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524</v>
      </c>
      <c r="D44" s="298">
        <f>D43+D33+D21</f>
        <v>359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1213</v>
      </c>
      <c r="D45" s="300">
        <v>854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1737</v>
      </c>
      <c r="D46" s="302">
        <f>D45+D44</f>
        <v>1213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1737</v>
      </c>
      <c r="D47" s="289">
        <v>789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44978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1901</v>
      </c>
      <c r="J13" s="553">
        <f>'1-Баланс'!H30+'1-Баланс'!H33</f>
        <v>-81</v>
      </c>
      <c r="K13" s="554"/>
      <c r="L13" s="553">
        <f>SUM(C13:K13)</f>
        <v>18281</v>
      </c>
      <c r="M13" s="555">
        <f>'1-Баланс'!H40</f>
        <v>1488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-4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-4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-4</v>
      </c>
      <c r="J16" s="307"/>
      <c r="K16" s="307"/>
      <c r="L16" s="553">
        <f t="shared" si="1"/>
        <v>-4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1897</v>
      </c>
      <c r="J17" s="622">
        <f t="shared" si="2"/>
        <v>-81</v>
      </c>
      <c r="K17" s="622">
        <f t="shared" si="2"/>
        <v>0</v>
      </c>
      <c r="L17" s="553">
        <f t="shared" si="1"/>
        <v>18277</v>
      </c>
      <c r="M17" s="623">
        <f t="shared" si="2"/>
        <v>1488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1591</v>
      </c>
      <c r="J18" s="553">
        <f>+'1-Баланс'!G33</f>
        <v>0</v>
      </c>
      <c r="K18" s="554"/>
      <c r="L18" s="553">
        <f t="shared" si="1"/>
        <v>1591</v>
      </c>
      <c r="M18" s="607">
        <v>63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>
        <v>22500</v>
      </c>
      <c r="D30" s="307">
        <v>9000</v>
      </c>
      <c r="E30" s="307"/>
      <c r="F30" s="307"/>
      <c r="G30" s="307"/>
      <c r="H30" s="307"/>
      <c r="I30" s="307">
        <v>127</v>
      </c>
      <c r="J30" s="307"/>
      <c r="K30" s="307"/>
      <c r="L30" s="553">
        <f t="shared" si="1"/>
        <v>31627</v>
      </c>
      <c r="M30" s="308">
        <v>-126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35836</v>
      </c>
      <c r="D31" s="622">
        <f aca="true" t="shared" si="6" ref="D31:M31">D19+D22+D23+D26+D30+D29+D17+D18</f>
        <v>9000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3615</v>
      </c>
      <c r="J31" s="622">
        <f t="shared" si="6"/>
        <v>-81</v>
      </c>
      <c r="K31" s="622">
        <f t="shared" si="6"/>
        <v>0</v>
      </c>
      <c r="L31" s="553">
        <f t="shared" si="1"/>
        <v>51495</v>
      </c>
      <c r="M31" s="623">
        <f t="shared" si="6"/>
        <v>1425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35836</v>
      </c>
      <c r="D34" s="556">
        <f t="shared" si="7"/>
        <v>9000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3615</v>
      </c>
      <c r="J34" s="556">
        <f t="shared" si="7"/>
        <v>-81</v>
      </c>
      <c r="K34" s="556">
        <f t="shared" si="7"/>
        <v>0</v>
      </c>
      <c r="L34" s="620">
        <f t="shared" si="1"/>
        <v>51495</v>
      </c>
      <c r="M34" s="557">
        <f>M31+M32+M33</f>
        <v>1425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44978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39" sqref="D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17</v>
      </c>
      <c r="L12" s="319">
        <v>2</v>
      </c>
      <c r="M12" s="319"/>
      <c r="N12" s="320">
        <f aca="true" t="shared" si="4" ref="N12:N41">K12+L12-M12</f>
        <v>19</v>
      </c>
      <c r="O12" s="319"/>
      <c r="P12" s="319"/>
      <c r="Q12" s="320">
        <f t="shared" si="0"/>
        <v>19</v>
      </c>
      <c r="R12" s="331">
        <f t="shared" si="1"/>
        <v>19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2049</v>
      </c>
      <c r="E13" s="319"/>
      <c r="F13" s="319"/>
      <c r="G13" s="320">
        <f t="shared" si="2"/>
        <v>2049</v>
      </c>
      <c r="H13" s="319"/>
      <c r="I13" s="319"/>
      <c r="J13" s="320">
        <f t="shared" si="3"/>
        <v>2049</v>
      </c>
      <c r="K13" s="319">
        <v>1212</v>
      </c>
      <c r="L13" s="319">
        <v>16</v>
      </c>
      <c r="M13" s="319"/>
      <c r="N13" s="320">
        <f t="shared" si="4"/>
        <v>1228</v>
      </c>
      <c r="O13" s="319"/>
      <c r="P13" s="319"/>
      <c r="Q13" s="320">
        <f t="shared" si="0"/>
        <v>1228</v>
      </c>
      <c r="R13" s="331">
        <f t="shared" si="1"/>
        <v>821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10886</v>
      </c>
      <c r="E14" s="319">
        <v>1</v>
      </c>
      <c r="F14" s="319"/>
      <c r="G14" s="320">
        <f t="shared" si="2"/>
        <v>10887</v>
      </c>
      <c r="H14" s="319"/>
      <c r="I14" s="319"/>
      <c r="J14" s="320">
        <f t="shared" si="3"/>
        <v>10887</v>
      </c>
      <c r="K14" s="319">
        <v>4273</v>
      </c>
      <c r="L14" s="319">
        <v>387</v>
      </c>
      <c r="M14" s="319"/>
      <c r="N14" s="320">
        <f t="shared" si="4"/>
        <v>4660</v>
      </c>
      <c r="O14" s="319"/>
      <c r="P14" s="319">
        <v>1</v>
      </c>
      <c r="Q14" s="320">
        <f t="shared" si="0"/>
        <v>4659</v>
      </c>
      <c r="R14" s="331">
        <f t="shared" si="1"/>
        <v>6228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>
        <v>25</v>
      </c>
      <c r="G15" s="320">
        <f t="shared" si="2"/>
        <v>0</v>
      </c>
      <c r="H15" s="319"/>
      <c r="I15" s="319"/>
      <c r="J15" s="320">
        <f t="shared" si="3"/>
        <v>0</v>
      </c>
      <c r="K15" s="319">
        <v>17</v>
      </c>
      <c r="L15" s="319">
        <v>6</v>
      </c>
      <c r="M15" s="319">
        <v>23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122</v>
      </c>
      <c r="E17" s="319"/>
      <c r="F17" s="319"/>
      <c r="G17" s="320">
        <f t="shared" si="2"/>
        <v>122</v>
      </c>
      <c r="H17" s="319">
        <v>1</v>
      </c>
      <c r="I17" s="319"/>
      <c r="J17" s="320">
        <f t="shared" si="3"/>
        <v>123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123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9</v>
      </c>
      <c r="L18" s="319"/>
      <c r="M18" s="319"/>
      <c r="N18" s="320">
        <f t="shared" si="4"/>
        <v>9</v>
      </c>
      <c r="O18" s="319"/>
      <c r="P18" s="319">
        <v>1</v>
      </c>
      <c r="Q18" s="320">
        <f t="shared" si="0"/>
        <v>8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13264</v>
      </c>
      <c r="E19" s="321">
        <f>SUM(E11:E18)</f>
        <v>1</v>
      </c>
      <c r="F19" s="321">
        <f>SUM(F11:F18)</f>
        <v>25</v>
      </c>
      <c r="G19" s="320">
        <f t="shared" si="2"/>
        <v>13240</v>
      </c>
      <c r="H19" s="321">
        <f>SUM(H11:H18)</f>
        <v>1</v>
      </c>
      <c r="I19" s="321">
        <f>SUM(I11:I18)</f>
        <v>0</v>
      </c>
      <c r="J19" s="320">
        <f t="shared" si="3"/>
        <v>13241</v>
      </c>
      <c r="K19" s="321">
        <f>SUM(K11:K18)</f>
        <v>5528</v>
      </c>
      <c r="L19" s="321">
        <f>SUM(L11:L18)</f>
        <v>411</v>
      </c>
      <c r="M19" s="321">
        <f>SUM(M11:M18)</f>
        <v>23</v>
      </c>
      <c r="N19" s="320">
        <f t="shared" si="4"/>
        <v>5916</v>
      </c>
      <c r="O19" s="321">
        <f>SUM(O11:O18)</f>
        <v>0</v>
      </c>
      <c r="P19" s="321">
        <f>SUM(P11:P18)</f>
        <v>2</v>
      </c>
      <c r="Q19" s="320">
        <f t="shared" si="0"/>
        <v>5914</v>
      </c>
      <c r="R19" s="331">
        <f t="shared" si="1"/>
        <v>7327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12388</v>
      </c>
      <c r="E20" s="319"/>
      <c r="F20" s="319"/>
      <c r="G20" s="320">
        <f t="shared" si="2"/>
        <v>12388</v>
      </c>
      <c r="H20" s="319">
        <v>407</v>
      </c>
      <c r="I20" s="319"/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4</v>
      </c>
      <c r="L26" s="319">
        <v>2</v>
      </c>
      <c r="M26" s="319"/>
      <c r="N26" s="320">
        <f t="shared" si="4"/>
        <v>6</v>
      </c>
      <c r="O26" s="319"/>
      <c r="P26" s="319"/>
      <c r="Q26" s="320">
        <f t="shared" si="0"/>
        <v>6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4</v>
      </c>
      <c r="L27" s="323">
        <f t="shared" si="5"/>
        <v>2</v>
      </c>
      <c r="M27" s="323">
        <f t="shared" si="5"/>
        <v>0</v>
      </c>
      <c r="N27" s="324">
        <f t="shared" si="4"/>
        <v>6</v>
      </c>
      <c r="O27" s="323">
        <f t="shared" si="5"/>
        <v>0</v>
      </c>
      <c r="P27" s="323">
        <f t="shared" si="5"/>
        <v>0</v>
      </c>
      <c r="Q27" s="324">
        <f t="shared" si="0"/>
        <v>6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318</v>
      </c>
      <c r="F29" s="326">
        <f t="shared" si="6"/>
        <v>0</v>
      </c>
      <c r="G29" s="327">
        <f t="shared" si="2"/>
        <v>318</v>
      </c>
      <c r="H29" s="326">
        <f t="shared" si="6"/>
        <v>179</v>
      </c>
      <c r="I29" s="326">
        <f t="shared" si="6"/>
        <v>0</v>
      </c>
      <c r="J29" s="327">
        <f t="shared" si="3"/>
        <v>497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497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>
        <v>318</v>
      </c>
      <c r="F32" s="319"/>
      <c r="G32" s="320">
        <f t="shared" si="2"/>
        <v>318</v>
      </c>
      <c r="H32" s="319">
        <v>179</v>
      </c>
      <c r="I32" s="319"/>
      <c r="J32" s="320">
        <f t="shared" si="3"/>
        <v>497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497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318</v>
      </c>
      <c r="F40" s="321">
        <f t="shared" si="10"/>
        <v>0</v>
      </c>
      <c r="G40" s="320">
        <f t="shared" si="2"/>
        <v>318</v>
      </c>
      <c r="H40" s="321">
        <f t="shared" si="10"/>
        <v>179</v>
      </c>
      <c r="I40" s="321">
        <f t="shared" si="10"/>
        <v>0</v>
      </c>
      <c r="J40" s="320">
        <f t="shared" si="3"/>
        <v>497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497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1623</v>
      </c>
      <c r="E41" s="319"/>
      <c r="F41" s="319"/>
      <c r="G41" s="320">
        <f t="shared" si="2"/>
        <v>1623</v>
      </c>
      <c r="H41" s="319"/>
      <c r="I41" s="319"/>
      <c r="J41" s="320">
        <f t="shared" si="3"/>
        <v>1623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1623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27285</v>
      </c>
      <c r="E42" s="340">
        <f>E19+E20+E21+E27+E40+E41</f>
        <v>319</v>
      </c>
      <c r="F42" s="340">
        <f aca="true" t="shared" si="11" ref="F42:R42">F19+F20+F21+F27+F40+F41</f>
        <v>25</v>
      </c>
      <c r="G42" s="340">
        <f t="shared" si="11"/>
        <v>27579</v>
      </c>
      <c r="H42" s="340">
        <f t="shared" si="11"/>
        <v>587</v>
      </c>
      <c r="I42" s="340">
        <f t="shared" si="11"/>
        <v>0</v>
      </c>
      <c r="J42" s="340">
        <f t="shared" si="11"/>
        <v>28166</v>
      </c>
      <c r="K42" s="340">
        <f t="shared" si="11"/>
        <v>5532</v>
      </c>
      <c r="L42" s="340">
        <f t="shared" si="11"/>
        <v>413</v>
      </c>
      <c r="M42" s="340">
        <f t="shared" si="11"/>
        <v>23</v>
      </c>
      <c r="N42" s="340">
        <f t="shared" si="11"/>
        <v>5922</v>
      </c>
      <c r="O42" s="340">
        <f t="shared" si="11"/>
        <v>0</v>
      </c>
      <c r="P42" s="340">
        <f t="shared" si="11"/>
        <v>2</v>
      </c>
      <c r="Q42" s="340">
        <f t="shared" si="11"/>
        <v>5920</v>
      </c>
      <c r="R42" s="341">
        <f t="shared" si="11"/>
        <v>22246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44978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9</v>
      </c>
      <c r="D18" s="353">
        <f>+D19+D20</f>
        <v>9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9</v>
      </c>
      <c r="D20" s="359">
        <v>9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</v>
      </c>
      <c r="D21" s="431">
        <f>D13+D17+D18</f>
        <v>9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46</v>
      </c>
      <c r="D30" s="359">
        <v>46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f>20432+2+1</f>
        <v>20435</v>
      </c>
      <c r="D31" s="359">
        <f>20432+2+1</f>
        <v>20435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f>5701+19849</f>
        <v>25550</v>
      </c>
      <c r="D32" s="359">
        <f>5701+19849</f>
        <v>25550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f>11+2</f>
        <v>13</v>
      </c>
      <c r="D37" s="359">
        <f>11+2</f>
        <v>13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84</v>
      </c>
      <c r="D40" s="353">
        <f>SUM(D41:D44)</f>
        <v>84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84</v>
      </c>
      <c r="D44" s="359">
        <v>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46134</v>
      </c>
      <c r="D45" s="429">
        <f>D26+D30+D31+D33+D32+D34+D35+D40</f>
        <v>46134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46143</v>
      </c>
      <c r="D46" s="435">
        <f>D45+D23+D21+D11</f>
        <v>46143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7523</v>
      </c>
      <c r="D58" s="129">
        <f>D59+D61</f>
        <v>553</v>
      </c>
      <c r="E58" s="127">
        <f t="shared" si="1"/>
        <v>6970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7523</v>
      </c>
      <c r="D59" s="188">
        <v>553</v>
      </c>
      <c r="E59" s="127">
        <f t="shared" si="1"/>
        <v>6970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22500</v>
      </c>
      <c r="D65" s="188">
        <v>5000</v>
      </c>
      <c r="E65" s="127">
        <f t="shared" si="1"/>
        <v>17500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30023</v>
      </c>
      <c r="D68" s="426">
        <f>D54+D58+D63+D64+D65+D66</f>
        <v>5553</v>
      </c>
      <c r="E68" s="427">
        <f t="shared" si="1"/>
        <v>24470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213</v>
      </c>
      <c r="D70" s="188"/>
      <c r="E70" s="127">
        <f t="shared" si="1"/>
        <v>213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371</v>
      </c>
      <c r="D73" s="128">
        <f>SUM(D74:D76)</f>
        <v>29</v>
      </c>
      <c r="E73" s="128">
        <f>SUM(E74:E76)</f>
        <v>342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371</v>
      </c>
      <c r="D76" s="188">
        <v>29</v>
      </c>
      <c r="E76" s="127">
        <f t="shared" si="1"/>
        <v>342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431</v>
      </c>
      <c r="D82" s="129">
        <f>SUM(D83:D86)</f>
        <v>431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431</v>
      </c>
      <c r="D84" s="188">
        <v>431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17123</v>
      </c>
      <c r="D87" s="125">
        <f>SUM(D88:D92)+D96</f>
        <v>17123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f>568+16267</f>
        <v>16835</v>
      </c>
      <c r="D88" s="188">
        <f>568+16267</f>
        <v>16835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94+18+3+130+3+3</f>
        <v>251</v>
      </c>
      <c r="D89" s="188">
        <f>94+18+3+130+3+3</f>
        <v>251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1+2</f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33</v>
      </c>
      <c r="D92" s="129">
        <f>SUM(D93:D95)</f>
        <v>33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f>4+5+4</f>
        <v>13</v>
      </c>
      <c r="D94" s="188">
        <f>4+5+4</f>
        <v>13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1+19</f>
        <v>20</v>
      </c>
      <c r="D95" s="188">
        <f>1+19</f>
        <v>20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f>6+4+4</f>
        <v>14</v>
      </c>
      <c r="D97" s="188">
        <f>6+4+4</f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17939</v>
      </c>
      <c r="D98" s="424">
        <f>D87+D82+D77+D73+D97</f>
        <v>17597</v>
      </c>
      <c r="E98" s="424">
        <f>E87+E82+E77+E73+E97</f>
        <v>342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48175</v>
      </c>
      <c r="D99" s="418">
        <f>D98+D70+D68</f>
        <v>23150</v>
      </c>
      <c r="E99" s="418">
        <f>E98+E70+E68</f>
        <v>25025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44978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22" sqref="H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1447002</v>
      </c>
      <c r="D13" s="440"/>
      <c r="E13" s="440"/>
      <c r="F13" s="440">
        <v>318</v>
      </c>
      <c r="G13" s="440">
        <v>179</v>
      </c>
      <c r="H13" s="440"/>
      <c r="I13" s="441">
        <f>F13+G13-H13</f>
        <v>497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1447002</v>
      </c>
      <c r="D18" s="447">
        <f t="shared" si="1"/>
        <v>0</v>
      </c>
      <c r="E18" s="447">
        <f t="shared" si="1"/>
        <v>0</v>
      </c>
      <c r="F18" s="447">
        <f t="shared" si="1"/>
        <v>318</v>
      </c>
      <c r="G18" s="447">
        <f t="shared" si="1"/>
        <v>179</v>
      </c>
      <c r="H18" s="447">
        <f t="shared" si="1"/>
        <v>0</v>
      </c>
      <c r="I18" s="448">
        <f t="shared" si="0"/>
        <v>497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242925</v>
      </c>
      <c r="D20" s="440"/>
      <c r="E20" s="440"/>
      <c r="F20" s="440">
        <v>14314</v>
      </c>
      <c r="G20" s="440">
        <v>354</v>
      </c>
      <c r="H20" s="440"/>
      <c r="I20" s="441">
        <f t="shared" si="0"/>
        <v>14668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4601923.579</v>
      </c>
      <c r="D26" s="440"/>
      <c r="E26" s="440"/>
      <c r="F26" s="440">
        <v>15732</v>
      </c>
      <c r="G26" s="440">
        <v>893</v>
      </c>
      <c r="H26" s="440">
        <v>325</v>
      </c>
      <c r="I26" s="441">
        <f t="shared" si="0"/>
        <v>16300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4844848.579</v>
      </c>
      <c r="D27" s="447">
        <f t="shared" si="2"/>
        <v>0</v>
      </c>
      <c r="E27" s="447">
        <f t="shared" si="2"/>
        <v>0</v>
      </c>
      <c r="F27" s="447">
        <f t="shared" si="2"/>
        <v>30046</v>
      </c>
      <c r="G27" s="447">
        <f t="shared" si="2"/>
        <v>1247</v>
      </c>
      <c r="H27" s="447">
        <f t="shared" si="2"/>
        <v>325</v>
      </c>
      <c r="I27" s="448">
        <f t="shared" si="0"/>
        <v>30968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44978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101095</v>
      </c>
      <c r="D6" s="644">
        <f aca="true" t="shared" si="0" ref="D6:D15">C6-E6</f>
        <v>0</v>
      </c>
      <c r="E6" s="643">
        <f>'1-Баланс'!G95</f>
        <v>101095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51495</v>
      </c>
      <c r="D7" s="644">
        <f t="shared" si="0"/>
        <v>15659</v>
      </c>
      <c r="E7" s="643">
        <f>'1-Баланс'!G18</f>
        <v>35836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1591</v>
      </c>
      <c r="D8" s="644">
        <f t="shared" si="0"/>
        <v>0</v>
      </c>
      <c r="E8" s="643">
        <f>ABS('2-Отчет за доходите'!C44)-ABS('2-Отчет за доходите'!G44)</f>
        <v>1591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1213</v>
      </c>
      <c r="D9" s="644">
        <f t="shared" si="0"/>
        <v>0</v>
      </c>
      <c r="E9" s="643">
        <f>'3-Отчет за паричния поток'!C45</f>
        <v>1213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1737</v>
      </c>
      <c r="D10" s="644">
        <f t="shared" si="0"/>
        <v>0</v>
      </c>
      <c r="E10" s="643">
        <f>'3-Отчет за паричния поток'!C46</f>
        <v>1737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51495</v>
      </c>
      <c r="D11" s="644">
        <f t="shared" si="0"/>
        <v>0</v>
      </c>
      <c r="E11" s="643">
        <f>'4-Отчет за собствения капитал'!L34</f>
        <v>51495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497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2023-02-22T08:16:02Z</dcterms:modified>
  <cp:category/>
  <cp:version/>
  <cp:contentType/>
  <cp:contentStatus/>
</cp:coreProperties>
</file>